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tfixes\Charlie\HMGs\"/>
    </mc:Choice>
  </mc:AlternateContent>
  <bookViews>
    <workbookView xWindow="0" yWindow="0" windowWidth="28800" windowHeight="14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26" i="1"/>
  <c r="N14" i="1"/>
  <c r="N13" i="1"/>
  <c r="N12" i="1"/>
  <c r="D30" i="1" l="1"/>
  <c r="L7" i="1"/>
  <c r="L6" i="1"/>
  <c r="L5" i="1"/>
  <c r="L8" i="1"/>
  <c r="L14" i="1"/>
  <c r="L13" i="1"/>
  <c r="L12" i="1"/>
  <c r="L27" i="1"/>
  <c r="L26" i="1"/>
  <c r="L25" i="1"/>
  <c r="L28" i="1"/>
  <c r="H34" i="1" l="1"/>
  <c r="H33" i="1"/>
  <c r="H32" i="1"/>
  <c r="N32" i="1" s="1"/>
  <c r="E34" i="1"/>
  <c r="E33" i="1"/>
  <c r="C26" i="1"/>
  <c r="C33" i="1" s="1"/>
  <c r="C27" i="1"/>
  <c r="C34" i="1" s="1"/>
  <c r="C32" i="1"/>
  <c r="J28" i="1"/>
  <c r="J27" i="1"/>
  <c r="K27" i="1" s="1"/>
  <c r="J26" i="1"/>
  <c r="K26" i="1" s="1"/>
  <c r="J25" i="1"/>
  <c r="K25" i="1" s="1"/>
  <c r="J14" i="1"/>
  <c r="K14" i="1" s="1"/>
  <c r="J13" i="1"/>
  <c r="K13" i="1" s="1"/>
  <c r="J12" i="1"/>
  <c r="K12" i="1" s="1"/>
  <c r="J8" i="1"/>
  <c r="J7" i="1"/>
  <c r="M20" i="1" s="1"/>
  <c r="J6" i="1"/>
  <c r="M19" i="1" s="1"/>
  <c r="J5" i="1"/>
  <c r="M18" i="1" s="1"/>
  <c r="C28" i="1"/>
  <c r="D28" i="1" s="1"/>
  <c r="F28" i="1" s="1"/>
  <c r="C38" i="1"/>
  <c r="D38" i="1" s="1"/>
  <c r="H40" i="1"/>
  <c r="H39" i="1"/>
  <c r="H38" i="1"/>
  <c r="D25" i="1"/>
  <c r="F25" i="1" s="1"/>
  <c r="D10" i="1"/>
  <c r="H20" i="1"/>
  <c r="H19" i="1"/>
  <c r="H18" i="1"/>
  <c r="C12" i="1"/>
  <c r="C20" i="1"/>
  <c r="D20" i="1" s="1"/>
  <c r="F20" i="1" s="1"/>
  <c r="C19" i="1"/>
  <c r="D19" i="1" s="1"/>
  <c r="D18" i="1"/>
  <c r="F18" i="1" s="1"/>
  <c r="D5" i="1"/>
  <c r="F5" i="1" s="1"/>
  <c r="C8" i="1"/>
  <c r="D8" i="1" s="1"/>
  <c r="F8" i="1" s="1"/>
  <c r="C7" i="1"/>
  <c r="D7" i="1" s="1"/>
  <c r="F7" i="1" s="1"/>
  <c r="C6" i="1"/>
  <c r="D6" i="1" s="1"/>
  <c r="F6" i="1" s="1"/>
  <c r="C14" i="1" l="1"/>
  <c r="J18" i="1"/>
  <c r="K18" i="1" s="1"/>
  <c r="L18" i="1"/>
  <c r="J20" i="1"/>
  <c r="K20" i="1" s="1"/>
  <c r="L20" i="1"/>
  <c r="J19" i="1"/>
  <c r="K19" i="1" s="1"/>
  <c r="L19" i="1"/>
  <c r="F19" i="1"/>
  <c r="G19" i="1" s="1"/>
  <c r="M12" i="1"/>
  <c r="M13" i="1"/>
  <c r="M14" i="1"/>
  <c r="K28" i="1"/>
  <c r="M35" i="1"/>
  <c r="J40" i="1"/>
  <c r="K40" i="1" s="1"/>
  <c r="L40" i="1"/>
  <c r="L34" i="1"/>
  <c r="N34" i="1"/>
  <c r="M34" i="1"/>
  <c r="M40" i="1"/>
  <c r="J39" i="1"/>
  <c r="K39" i="1" s="1"/>
  <c r="L39" i="1"/>
  <c r="M33" i="1"/>
  <c r="M39" i="1"/>
  <c r="L33" i="1"/>
  <c r="N33" i="1"/>
  <c r="M32" i="1"/>
  <c r="M38" i="1"/>
  <c r="J38" i="1"/>
  <c r="K38" i="1" s="1"/>
  <c r="L38" i="1"/>
  <c r="J32" i="1"/>
  <c r="K32" i="1" s="1"/>
  <c r="L32" i="1"/>
  <c r="C39" i="1"/>
  <c r="D39" i="1" s="1"/>
  <c r="C40" i="1"/>
  <c r="D40" i="1" s="1"/>
  <c r="F40" i="1" s="1"/>
  <c r="F39" i="1"/>
  <c r="I39" i="1" s="1"/>
  <c r="F38" i="1"/>
  <c r="G38" i="1" s="1"/>
  <c r="J34" i="1"/>
  <c r="D32" i="1"/>
  <c r="J33" i="1"/>
  <c r="K33" i="1" s="1"/>
  <c r="D34" i="1"/>
  <c r="D33" i="1"/>
  <c r="I28" i="1"/>
  <c r="G20" i="1"/>
  <c r="I6" i="1"/>
  <c r="I8" i="1"/>
  <c r="I7" i="1"/>
  <c r="I5" i="1"/>
  <c r="I25" i="1"/>
  <c r="I18" i="1"/>
  <c r="G18" i="1"/>
  <c r="D12" i="1"/>
  <c r="G28" i="1"/>
  <c r="G8" i="1"/>
  <c r="G6" i="1"/>
  <c r="I20" i="1"/>
  <c r="C13" i="1"/>
  <c r="D13" i="1" s="1"/>
  <c r="G5" i="1"/>
  <c r="G25" i="1"/>
  <c r="G7" i="1"/>
  <c r="I38" i="1"/>
  <c r="I19" i="1"/>
  <c r="D26" i="1"/>
  <c r="F26" i="1" s="1"/>
  <c r="D27" i="1"/>
  <c r="F27" i="1" s="1"/>
  <c r="D14" i="1"/>
  <c r="O14" i="1" l="1"/>
  <c r="F14" i="1"/>
  <c r="F13" i="1"/>
  <c r="G13" i="1" s="1"/>
  <c r="O13" i="1"/>
  <c r="O12" i="1"/>
  <c r="F12" i="1"/>
  <c r="O35" i="1"/>
  <c r="F34" i="1"/>
  <c r="K35" i="1"/>
  <c r="K34" i="1"/>
  <c r="I40" i="1"/>
  <c r="G40" i="1"/>
  <c r="G39" i="1"/>
  <c r="I34" i="1"/>
  <c r="O34" i="1"/>
  <c r="F33" i="1"/>
  <c r="I33" i="1" s="1"/>
  <c r="O33" i="1"/>
  <c r="F32" i="1"/>
  <c r="O32" i="1"/>
  <c r="G33" i="1"/>
  <c r="I14" i="1"/>
  <c r="G14" i="1"/>
  <c r="I12" i="1"/>
  <c r="G12" i="1"/>
  <c r="I13" i="1"/>
  <c r="I26" i="1"/>
  <c r="G26" i="1"/>
  <c r="I27" i="1"/>
  <c r="G27" i="1"/>
  <c r="G34" i="1" l="1"/>
  <c r="G32" i="1"/>
  <c r="I32" i="1"/>
</calcChain>
</file>

<file path=xl/comments1.xml><?xml version="1.0" encoding="utf-8"?>
<comments xmlns="http://schemas.openxmlformats.org/spreadsheetml/2006/main">
  <authors>
    <author>Ben Gruber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Heat Ratio vs Base (Excluding Standard)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Ratio of time firing to time idle during burst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Not available, for reference only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Heat Ratio vs Base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Ratio of time firing to time idle during burst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Actual Fire Interval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Burst Delay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Not available, for reference only</t>
        </r>
      </text>
    </comment>
  </commentList>
</comments>
</file>

<file path=xl/sharedStrings.xml><?xml version="1.0" encoding="utf-8"?>
<sst xmlns="http://schemas.openxmlformats.org/spreadsheetml/2006/main" count="101" uniqueCount="23">
  <si>
    <t>Type</t>
  </si>
  <si>
    <t>Standard</t>
  </si>
  <si>
    <t>Advanced</t>
  </si>
  <si>
    <t>Prototype</t>
  </si>
  <si>
    <t>Officer</t>
  </si>
  <si>
    <t>Heat per second</t>
  </si>
  <si>
    <t>Fire Interval</t>
  </si>
  <si>
    <t>Base</t>
  </si>
  <si>
    <t>Burst</t>
  </si>
  <si>
    <t>Assault</t>
  </si>
  <si>
    <t>Time to overheat</t>
  </si>
  <si>
    <t>Rounds before overheat</t>
  </si>
  <si>
    <t>Damage per round</t>
  </si>
  <si>
    <t>Total damage before overheat</t>
  </si>
  <si>
    <t>Old</t>
  </si>
  <si>
    <t>New</t>
  </si>
  <si>
    <t>% of clip</t>
  </si>
  <si>
    <t>DPS</t>
  </si>
  <si>
    <t>Base's Total Damage at Overheat</t>
  </si>
  <si>
    <t>Time to 2000 DPS</t>
  </si>
  <si>
    <t>Base's Time to 2000 DPS</t>
  </si>
  <si>
    <t>Total Damage per Clip</t>
  </si>
  <si>
    <t>Damage per Burst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</si>
</sst>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9" fontId="0" fillId="0" borderId="0" xfId="1" applyFont="1" applyBorder="1"/>
    <xf numFmtId="0" fontId="0" fillId="0" borderId="6" xfId="0" applyBorder="1"/>
    <xf numFmtId="0" fontId="0" fillId="0" borderId="7" xfId="0" applyBorder="1"/>
    <xf numFmtId="9" fontId="0" fillId="0" borderId="7" xfId="1" applyFont="1" applyBorder="1"/>
    <xf numFmtId="0" fontId="0" fillId="0" borderId="8" xfId="0" applyBorder="1"/>
    <xf numFmtId="9" fontId="0" fillId="0" borderId="2" xfId="1" applyFont="1" applyBorder="1"/>
    <xf numFmtId="0" fontId="0" fillId="0" borderId="0" xfId="0" applyFill="1" applyBorder="1"/>
    <xf numFmtId="0" fontId="0" fillId="2" borderId="4" xfId="0" applyFill="1" applyBorder="1"/>
    <xf numFmtId="0" fontId="0" fillId="2" borderId="0" xfId="0" applyFill="1" applyBorder="1"/>
    <xf numFmtId="9" fontId="0" fillId="2" borderId="0" xfId="1" applyFont="1" applyFill="1" applyBorder="1"/>
    <xf numFmtId="0" fontId="0" fillId="2" borderId="5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0"/>
  <sheetViews>
    <sheetView tabSelected="1" workbookViewId="0">
      <selection activeCell="H26" sqref="H26"/>
    </sheetView>
  </sheetViews>
  <sheetFormatPr defaultRowHeight="15" x14ac:dyDescent="0.25"/>
  <cols>
    <col min="2" max="2" width="9.85546875" bestFit="1" customWidth="1"/>
    <col min="3" max="3" width="15.42578125" bestFit="1" customWidth="1"/>
    <col min="4" max="4" width="16.28515625" bestFit="1" customWidth="1"/>
    <col min="5" max="5" width="11.7109375" bestFit="1" customWidth="1"/>
    <col min="6" max="6" width="22.85546875" bestFit="1" customWidth="1"/>
    <col min="7" max="7" width="8.42578125" bestFit="1" customWidth="1"/>
    <col min="8" max="8" width="17.5703125" bestFit="1" customWidth="1"/>
    <col min="9" max="9" width="28.28515625" bestFit="1" customWidth="1"/>
    <col min="11" max="11" width="16.140625" bestFit="1" customWidth="1"/>
    <col min="12" max="12" width="20.5703125" bestFit="1" customWidth="1"/>
    <col min="13" max="13" width="22.28515625" bestFit="1" customWidth="1"/>
    <col min="14" max="14" width="16.7109375" bestFit="1" customWidth="1"/>
    <col min="15" max="15" width="30.42578125" bestFit="1" customWidth="1"/>
  </cols>
  <sheetData>
    <row r="1" spans="2:15" ht="15.75" thickBot="1" x14ac:dyDescent="0.3"/>
    <row r="2" spans="2:15" x14ac:dyDescent="0.25">
      <c r="B2" s="2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x14ac:dyDescent="0.25">
      <c r="B3" s="5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2:15" x14ac:dyDescent="0.25">
      <c r="B4" s="5" t="s">
        <v>0</v>
      </c>
      <c r="C4" s="6" t="s">
        <v>5</v>
      </c>
      <c r="D4" s="6" t="s">
        <v>10</v>
      </c>
      <c r="E4" s="6" t="s">
        <v>6</v>
      </c>
      <c r="F4" s="6" t="s">
        <v>11</v>
      </c>
      <c r="G4" s="6" t="s">
        <v>16</v>
      </c>
      <c r="H4" s="6" t="s">
        <v>12</v>
      </c>
      <c r="I4" s="6" t="s">
        <v>13</v>
      </c>
      <c r="J4" s="6" t="s">
        <v>17</v>
      </c>
      <c r="K4" s="6"/>
      <c r="L4" s="6" t="s">
        <v>21</v>
      </c>
      <c r="M4" s="6"/>
      <c r="N4" s="6"/>
      <c r="O4" s="7"/>
    </row>
    <row r="5" spans="2:15" x14ac:dyDescent="0.25">
      <c r="B5" s="5" t="s">
        <v>1</v>
      </c>
      <c r="C5" s="6">
        <v>14</v>
      </c>
      <c r="D5" s="6">
        <f>100/C5</f>
        <v>7.1428571428571432</v>
      </c>
      <c r="E5" s="6">
        <v>2.5000000000000001E-2</v>
      </c>
      <c r="F5" s="6">
        <f>ROUNDUP(1/E5*D5, 0)</f>
        <v>286</v>
      </c>
      <c r="G5" s="8">
        <f>F5/425</f>
        <v>0.67294117647058826</v>
      </c>
      <c r="H5" s="6">
        <v>18</v>
      </c>
      <c r="I5" s="6">
        <f>F5*H5</f>
        <v>5148</v>
      </c>
      <c r="J5" s="6">
        <f>1/E5*H5</f>
        <v>720</v>
      </c>
      <c r="K5" s="6"/>
      <c r="L5" s="6">
        <f>H5*425</f>
        <v>7650</v>
      </c>
      <c r="M5" s="6"/>
      <c r="N5" s="6"/>
      <c r="O5" s="7"/>
    </row>
    <row r="6" spans="2:15" x14ac:dyDescent="0.25">
      <c r="B6" s="5" t="s">
        <v>2</v>
      </c>
      <c r="C6" s="6">
        <f>$C$5*0.95</f>
        <v>13.299999999999999</v>
      </c>
      <c r="D6" s="6">
        <f>100/C6</f>
        <v>7.5187969924812039</v>
      </c>
      <c r="E6" s="6">
        <v>2.5000000000000001E-2</v>
      </c>
      <c r="F6" s="6">
        <f>ROUNDUP(1/E6*D6, 0)</f>
        <v>301</v>
      </c>
      <c r="G6" s="8">
        <f t="shared" ref="G6:G40" si="0">F6/425</f>
        <v>0.70823529411764707</v>
      </c>
      <c r="H6" s="6">
        <v>18.899999999999999</v>
      </c>
      <c r="I6" s="6">
        <f>F6*H6</f>
        <v>5688.9</v>
      </c>
      <c r="J6" s="6">
        <f>1/E6*H6</f>
        <v>756</v>
      </c>
      <c r="K6" s="6"/>
      <c r="L6" s="6">
        <f t="shared" ref="L6:L7" si="1">H6*425</f>
        <v>8032.4999999999991</v>
      </c>
      <c r="M6" s="6"/>
      <c r="N6" s="6"/>
      <c r="O6" s="7"/>
    </row>
    <row r="7" spans="2:15" x14ac:dyDescent="0.25">
      <c r="B7" s="5" t="s">
        <v>3</v>
      </c>
      <c r="C7" s="6">
        <f>$C$5*0.85</f>
        <v>11.9</v>
      </c>
      <c r="D7" s="6">
        <f>100/C7</f>
        <v>8.4033613445378155</v>
      </c>
      <c r="E7" s="6">
        <v>2.5000000000000001E-2</v>
      </c>
      <c r="F7" s="6">
        <f>ROUNDUP(1/E7*D7, 0)</f>
        <v>337</v>
      </c>
      <c r="G7" s="8">
        <f t="shared" si="0"/>
        <v>0.79294117647058826</v>
      </c>
      <c r="H7" s="6">
        <v>19.8</v>
      </c>
      <c r="I7" s="6">
        <f>F7*H7</f>
        <v>6672.6</v>
      </c>
      <c r="J7" s="6">
        <f>1/E7*H7</f>
        <v>792</v>
      </c>
      <c r="K7" s="6"/>
      <c r="L7" s="6">
        <f t="shared" si="1"/>
        <v>8415</v>
      </c>
      <c r="M7" s="6"/>
      <c r="N7" s="6"/>
      <c r="O7" s="7"/>
    </row>
    <row r="8" spans="2:15" x14ac:dyDescent="0.25">
      <c r="B8" s="5" t="s">
        <v>4</v>
      </c>
      <c r="C8" s="6">
        <f>$C$5*0.65</f>
        <v>9.1</v>
      </c>
      <c r="D8" s="6">
        <f>100/C8</f>
        <v>10.989010989010989</v>
      </c>
      <c r="E8" s="6">
        <v>2.5000000000000001E-2</v>
      </c>
      <c r="F8" s="6">
        <f>ROUNDUP(1/E8*D8, 0)</f>
        <v>440</v>
      </c>
      <c r="G8" s="8">
        <f t="shared" si="0"/>
        <v>1.0352941176470589</v>
      </c>
      <c r="H8" s="6">
        <v>21.6</v>
      </c>
      <c r="I8" s="6">
        <f>F8*H8</f>
        <v>9504</v>
      </c>
      <c r="J8" s="6">
        <f>1/E8*H8</f>
        <v>864</v>
      </c>
      <c r="K8" s="6"/>
      <c r="L8" s="6">
        <f t="shared" ref="L8" si="2">H8*425</f>
        <v>9180</v>
      </c>
      <c r="M8" s="6"/>
      <c r="N8" s="6"/>
      <c r="O8" s="7"/>
    </row>
    <row r="9" spans="2:15" x14ac:dyDescent="0.25">
      <c r="B9" s="5"/>
      <c r="C9" s="6"/>
      <c r="D9" s="6"/>
      <c r="E9" s="6"/>
      <c r="F9" s="6"/>
      <c r="G9" s="8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 t="s">
        <v>8</v>
      </c>
      <c r="C10" s="6">
        <v>2.5</v>
      </c>
      <c r="D10" s="6">
        <f>0.5625/1.0825</f>
        <v>0.51963048498845266</v>
      </c>
      <c r="E10" s="6"/>
      <c r="F10" s="6"/>
      <c r="G10" s="8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 t="s">
        <v>0</v>
      </c>
      <c r="C11" s="6" t="s">
        <v>5</v>
      </c>
      <c r="D11" s="6" t="s">
        <v>10</v>
      </c>
      <c r="E11" s="6" t="s">
        <v>6</v>
      </c>
      <c r="F11" s="6" t="s">
        <v>11</v>
      </c>
      <c r="G11" s="6" t="s">
        <v>16</v>
      </c>
      <c r="H11" s="6" t="s">
        <v>12</v>
      </c>
      <c r="I11" s="6" t="s">
        <v>13</v>
      </c>
      <c r="J11" s="6" t="s">
        <v>17</v>
      </c>
      <c r="K11" s="6" t="s">
        <v>19</v>
      </c>
      <c r="L11" s="6" t="s">
        <v>21</v>
      </c>
      <c r="M11" s="6" t="s">
        <v>20</v>
      </c>
      <c r="N11" s="14" t="s">
        <v>22</v>
      </c>
      <c r="O11" s="7" t="s">
        <v>18</v>
      </c>
    </row>
    <row r="12" spans="2:15" x14ac:dyDescent="0.25">
      <c r="B12" s="15" t="s">
        <v>1</v>
      </c>
      <c r="C12" s="16">
        <f>C5*2.85</f>
        <v>39.9</v>
      </c>
      <c r="D12" s="16">
        <f>(100/C12)/$D$10</f>
        <v>4.8231690336953497</v>
      </c>
      <c r="E12" s="16">
        <v>2.4E-2</v>
      </c>
      <c r="F12" s="16">
        <f>ROUNDUP(1/E12*D12, 0)</f>
        <v>201</v>
      </c>
      <c r="G12" s="17">
        <f t="shared" si="0"/>
        <v>0.47294117647058825</v>
      </c>
      <c r="H12" s="16">
        <v>13.5</v>
      </c>
      <c r="I12" s="16">
        <f>F12*H12</f>
        <v>2713.5</v>
      </c>
      <c r="J12" s="16">
        <f>1/E12*H12</f>
        <v>562.5</v>
      </c>
      <c r="K12" s="16">
        <f>2000/J12</f>
        <v>3.5555555555555554</v>
      </c>
      <c r="L12" s="16">
        <f>H12*425</f>
        <v>5737.5</v>
      </c>
      <c r="M12" s="16">
        <f>2000/J5</f>
        <v>2.7777777777777777</v>
      </c>
      <c r="N12" s="16">
        <f>45*H12</f>
        <v>607.5</v>
      </c>
      <c r="O12" s="18">
        <f>ROUNDUP(D12*1/E5, 0)*H5</f>
        <v>3474</v>
      </c>
    </row>
    <row r="13" spans="2:15" x14ac:dyDescent="0.25">
      <c r="B13" s="5" t="s">
        <v>2</v>
      </c>
      <c r="C13" s="6">
        <f t="shared" ref="C13" si="3">C6*2.5</f>
        <v>33.25</v>
      </c>
      <c r="D13" s="6">
        <f>(100/C13)/$D$10</f>
        <v>5.7878028404344191</v>
      </c>
      <c r="E13" s="6">
        <v>2.4E-2</v>
      </c>
      <c r="F13" s="6">
        <f>ROUNDUP(1/E13*D13, 0)</f>
        <v>242</v>
      </c>
      <c r="G13" s="8">
        <f t="shared" si="0"/>
        <v>0.56941176470588239</v>
      </c>
      <c r="H13" s="6">
        <v>14.18</v>
      </c>
      <c r="I13" s="6">
        <f>F13*H13</f>
        <v>3431.56</v>
      </c>
      <c r="J13" s="6">
        <f>1/E13*H13</f>
        <v>590.83333333333326</v>
      </c>
      <c r="K13" s="6">
        <f>2000/J13</f>
        <v>3.3850493653032445</v>
      </c>
      <c r="L13" s="6">
        <f t="shared" ref="L13:L14" si="4">H13*425</f>
        <v>6026.5</v>
      </c>
      <c r="M13" s="6">
        <f>2000/J6</f>
        <v>2.6455026455026456</v>
      </c>
      <c r="N13" s="6">
        <f>45*H13</f>
        <v>638.1</v>
      </c>
      <c r="O13" s="7">
        <f>ROUNDUP(D13*1/E6, 0)*H6</f>
        <v>4384.7999999999993</v>
      </c>
    </row>
    <row r="14" spans="2:15" x14ac:dyDescent="0.25">
      <c r="B14" s="5" t="s">
        <v>3</v>
      </c>
      <c r="C14" s="6">
        <f>C7*2.5</f>
        <v>29.75</v>
      </c>
      <c r="D14" s="6">
        <f>(100/C14)/$D$10</f>
        <v>6.4687208216619982</v>
      </c>
      <c r="E14" s="6">
        <v>2.4E-2</v>
      </c>
      <c r="F14" s="6">
        <f>ROUNDUP(1/E14*D14, 0)</f>
        <v>270</v>
      </c>
      <c r="G14" s="8">
        <f t="shared" si="0"/>
        <v>0.63529411764705879</v>
      </c>
      <c r="H14" s="6">
        <v>15.84</v>
      </c>
      <c r="I14" s="6">
        <f>F14*H14</f>
        <v>4276.8</v>
      </c>
      <c r="J14" s="6">
        <f>1/E14*H14</f>
        <v>660</v>
      </c>
      <c r="K14" s="6">
        <f>2000/J14</f>
        <v>3.0303030303030303</v>
      </c>
      <c r="L14" s="6">
        <f t="shared" si="4"/>
        <v>6732</v>
      </c>
      <c r="M14" s="6">
        <f>2000/J7</f>
        <v>2.5252525252525251</v>
      </c>
      <c r="N14" s="6">
        <f>45*H14</f>
        <v>712.8</v>
      </c>
      <c r="O14" s="7">
        <f>ROUNDUP(D14*1/E7, 0)*H7</f>
        <v>5128.2</v>
      </c>
    </row>
    <row r="15" spans="2:15" x14ac:dyDescent="0.25">
      <c r="B15" s="5"/>
      <c r="C15" s="6"/>
      <c r="D15" s="6"/>
      <c r="E15" s="6"/>
      <c r="F15" s="6"/>
      <c r="G15" s="8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 t="s">
        <v>9</v>
      </c>
      <c r="C16" s="6"/>
      <c r="D16" s="6"/>
      <c r="E16" s="6"/>
      <c r="F16" s="6"/>
      <c r="G16" s="8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 t="s">
        <v>0</v>
      </c>
      <c r="C17" s="6" t="s">
        <v>5</v>
      </c>
      <c r="D17" s="6" t="s">
        <v>10</v>
      </c>
      <c r="E17" s="6" t="s">
        <v>6</v>
      </c>
      <c r="F17" s="6" t="s">
        <v>11</v>
      </c>
      <c r="G17" s="6" t="s">
        <v>16</v>
      </c>
      <c r="H17" s="6" t="s">
        <v>12</v>
      </c>
      <c r="I17" s="6" t="s">
        <v>13</v>
      </c>
      <c r="J17" s="6" t="s">
        <v>17</v>
      </c>
      <c r="K17" s="6" t="s">
        <v>19</v>
      </c>
      <c r="L17" s="6" t="s">
        <v>21</v>
      </c>
      <c r="M17" s="6" t="s">
        <v>20</v>
      </c>
      <c r="N17" s="6"/>
      <c r="O17" s="7"/>
    </row>
    <row r="18" spans="2:15" x14ac:dyDescent="0.25">
      <c r="B18" s="5" t="s">
        <v>1</v>
      </c>
      <c r="C18" s="6">
        <v>14</v>
      </c>
      <c r="D18" s="6">
        <f>100/C18</f>
        <v>7.1428571428571432</v>
      </c>
      <c r="E18" s="6">
        <v>2.5000000000000001E-2</v>
      </c>
      <c r="F18" s="6">
        <f>ROUNDUP(1/E18*D18, 0)</f>
        <v>286</v>
      </c>
      <c r="G18" s="8">
        <f t="shared" si="0"/>
        <v>0.67294117647058826</v>
      </c>
      <c r="H18" s="6">
        <f>H5*0.75</f>
        <v>13.5</v>
      </c>
      <c r="I18" s="6">
        <f>F18*H18</f>
        <v>3861</v>
      </c>
      <c r="J18" s="6">
        <f>1/E18*H18</f>
        <v>540</v>
      </c>
      <c r="K18" s="6">
        <f>2000/J18</f>
        <v>3.7037037037037037</v>
      </c>
      <c r="L18" s="6">
        <f>H18*425</f>
        <v>5737.5</v>
      </c>
      <c r="M18" s="6">
        <f>2000/J5</f>
        <v>2.7777777777777777</v>
      </c>
      <c r="N18" s="6"/>
      <c r="O18" s="7"/>
    </row>
    <row r="19" spans="2:15" x14ac:dyDescent="0.25">
      <c r="B19" s="5" t="s">
        <v>2</v>
      </c>
      <c r="C19" s="6">
        <f>$C$5*0.95</f>
        <v>13.299999999999999</v>
      </c>
      <c r="D19" s="6">
        <f>100/C19</f>
        <v>7.5187969924812039</v>
      </c>
      <c r="E19" s="6">
        <v>2.5000000000000001E-2</v>
      </c>
      <c r="F19" s="6">
        <f>ROUNDUP(1/E19*D19, 0)</f>
        <v>301</v>
      </c>
      <c r="G19" s="8">
        <f t="shared" si="0"/>
        <v>0.70823529411764707</v>
      </c>
      <c r="H19" s="6">
        <f>H6*0.75</f>
        <v>14.174999999999999</v>
      </c>
      <c r="I19" s="6">
        <f>F19*H19</f>
        <v>4266.6749999999993</v>
      </c>
      <c r="J19" s="6">
        <f>1/E19*H19</f>
        <v>567</v>
      </c>
      <c r="K19" s="6">
        <f>2000/J19</f>
        <v>3.5273368606701938</v>
      </c>
      <c r="L19" s="6">
        <f t="shared" ref="L19:L20" si="5">H19*425</f>
        <v>6024.375</v>
      </c>
      <c r="M19" s="6">
        <f>2000/J6</f>
        <v>2.6455026455026456</v>
      </c>
      <c r="N19" s="6"/>
      <c r="O19" s="7"/>
    </row>
    <row r="20" spans="2:15" ht="15.75" thickBot="1" x14ac:dyDescent="0.3">
      <c r="B20" s="9" t="s">
        <v>3</v>
      </c>
      <c r="C20" s="10">
        <f>$C$5*0.85</f>
        <v>11.9</v>
      </c>
      <c r="D20" s="10">
        <f>100/C20</f>
        <v>8.4033613445378155</v>
      </c>
      <c r="E20" s="10">
        <v>2.5000000000000001E-2</v>
      </c>
      <c r="F20" s="10">
        <f>ROUNDUP(1/E20*D20, 0)</f>
        <v>337</v>
      </c>
      <c r="G20" s="11">
        <f t="shared" si="0"/>
        <v>0.79294117647058826</v>
      </c>
      <c r="H20" s="10">
        <f>H7*0.8</f>
        <v>15.840000000000002</v>
      </c>
      <c r="I20" s="10">
        <f>F20*H20</f>
        <v>5338.0800000000008</v>
      </c>
      <c r="J20" s="10">
        <f>1/E20*H20</f>
        <v>633.6</v>
      </c>
      <c r="K20" s="10">
        <f>2000/J20</f>
        <v>3.1565656565656566</v>
      </c>
      <c r="L20" s="10">
        <f t="shared" si="5"/>
        <v>6732.0000000000009</v>
      </c>
      <c r="M20" s="10">
        <f>2000/J7</f>
        <v>2.5252525252525251</v>
      </c>
      <c r="N20" s="10"/>
      <c r="O20" s="12"/>
    </row>
    <row r="21" spans="2:15" ht="15.75" thickBot="1" x14ac:dyDescent="0.3">
      <c r="G21" s="1"/>
      <c r="N21" s="6"/>
      <c r="O21" s="6"/>
    </row>
    <row r="22" spans="2:15" x14ac:dyDescent="0.25">
      <c r="B22" s="2" t="s">
        <v>15</v>
      </c>
      <c r="C22" s="3"/>
      <c r="D22" s="3"/>
      <c r="E22" s="3"/>
      <c r="F22" s="3"/>
      <c r="G22" s="13"/>
      <c r="H22" s="3"/>
      <c r="I22" s="3"/>
      <c r="J22" s="3"/>
      <c r="K22" s="3"/>
      <c r="L22" s="3"/>
      <c r="M22" s="3"/>
      <c r="N22" s="3"/>
      <c r="O22" s="4"/>
    </row>
    <row r="23" spans="2:15" x14ac:dyDescent="0.25">
      <c r="B23" s="5" t="s">
        <v>7</v>
      </c>
      <c r="C23" s="6"/>
      <c r="D23" s="6"/>
      <c r="E23" s="6"/>
      <c r="F23" s="6"/>
      <c r="G23" s="8"/>
      <c r="H23" s="6"/>
      <c r="I23" s="6"/>
      <c r="J23" s="6"/>
      <c r="K23" s="6"/>
      <c r="L23" s="6"/>
      <c r="M23" s="6"/>
      <c r="N23" s="6"/>
      <c r="O23" s="7"/>
    </row>
    <row r="24" spans="2:15" x14ac:dyDescent="0.25">
      <c r="B24" s="5" t="s">
        <v>0</v>
      </c>
      <c r="C24" s="6" t="s">
        <v>5</v>
      </c>
      <c r="D24" s="6" t="s">
        <v>10</v>
      </c>
      <c r="E24" s="6" t="s">
        <v>6</v>
      </c>
      <c r="F24" s="6" t="s">
        <v>11</v>
      </c>
      <c r="G24" s="6" t="s">
        <v>16</v>
      </c>
      <c r="H24" s="6" t="s">
        <v>12</v>
      </c>
      <c r="I24" s="6" t="s">
        <v>13</v>
      </c>
      <c r="J24" s="6" t="s">
        <v>17</v>
      </c>
      <c r="K24" s="6" t="s">
        <v>19</v>
      </c>
      <c r="L24" s="6" t="s">
        <v>21</v>
      </c>
      <c r="M24" s="6"/>
      <c r="N24" s="6"/>
      <c r="O24" s="7"/>
    </row>
    <row r="25" spans="2:15" x14ac:dyDescent="0.25">
      <c r="B25" s="5" t="s">
        <v>1</v>
      </c>
      <c r="C25" s="6">
        <v>16</v>
      </c>
      <c r="D25" s="6">
        <f>100/C25</f>
        <v>6.25</v>
      </c>
      <c r="E25" s="6">
        <v>2.5000000000000001E-2</v>
      </c>
      <c r="F25" s="6">
        <f>ROUNDUP(1/E25*D25, 0)</f>
        <v>250</v>
      </c>
      <c r="G25" s="8">
        <f t="shared" si="0"/>
        <v>0.58823529411764708</v>
      </c>
      <c r="H25" s="6">
        <v>18</v>
      </c>
      <c r="I25" s="6">
        <f>F25*H25</f>
        <v>4500</v>
      </c>
      <c r="J25" s="6">
        <f>1/E25*H25</f>
        <v>720</v>
      </c>
      <c r="K25" s="6">
        <f>2000/J25</f>
        <v>2.7777777777777777</v>
      </c>
      <c r="L25" s="6">
        <f>H25*425</f>
        <v>7650</v>
      </c>
      <c r="M25" s="6"/>
      <c r="N25" s="6"/>
      <c r="O25" s="7"/>
    </row>
    <row r="26" spans="2:15" x14ac:dyDescent="0.25">
      <c r="B26" s="5" t="s">
        <v>2</v>
      </c>
      <c r="C26" s="6">
        <f>$C25*0.95</f>
        <v>15.2</v>
      </c>
      <c r="D26" s="6">
        <f>100/C26</f>
        <v>6.5789473684210531</v>
      </c>
      <c r="E26" s="6">
        <v>2.5000000000000001E-2</v>
      </c>
      <c r="F26" s="6">
        <f>ROUNDUP(1/E26*D26, 0)</f>
        <v>264</v>
      </c>
      <c r="G26" s="8">
        <f t="shared" si="0"/>
        <v>0.62117647058823533</v>
      </c>
      <c r="H26" s="6">
        <f>H25*1.05</f>
        <v>18.900000000000002</v>
      </c>
      <c r="I26" s="6">
        <f>F26*H26</f>
        <v>4989.6000000000004</v>
      </c>
      <c r="J26" s="6">
        <f>1/E26*H26</f>
        <v>756.00000000000011</v>
      </c>
      <c r="K26" s="6">
        <f>2000/J26</f>
        <v>2.6455026455026451</v>
      </c>
      <c r="L26" s="6">
        <f t="shared" ref="L26:L27" si="6">H26*425</f>
        <v>8032.5000000000009</v>
      </c>
      <c r="M26" s="6"/>
      <c r="N26" s="6"/>
      <c r="O26" s="7"/>
    </row>
    <row r="27" spans="2:15" x14ac:dyDescent="0.25">
      <c r="B27" s="5" t="s">
        <v>3</v>
      </c>
      <c r="C27" s="6">
        <f>$C25*0.9</f>
        <v>14.4</v>
      </c>
      <c r="D27" s="6">
        <f>100/C27</f>
        <v>6.9444444444444446</v>
      </c>
      <c r="E27" s="6">
        <v>2.5000000000000001E-2</v>
      </c>
      <c r="F27" s="6">
        <f>ROUNDUP(1/E27*D27, 0)</f>
        <v>278</v>
      </c>
      <c r="G27" s="8">
        <f t="shared" si="0"/>
        <v>0.65411764705882358</v>
      </c>
      <c r="H27" s="6">
        <f>H25*1.1</f>
        <v>19.8</v>
      </c>
      <c r="I27" s="6">
        <f>F27*H27</f>
        <v>5504.4000000000005</v>
      </c>
      <c r="J27" s="6">
        <f>1/E27*H27</f>
        <v>792</v>
      </c>
      <c r="K27" s="6">
        <f>2000/J27</f>
        <v>2.5252525252525251</v>
      </c>
      <c r="L27" s="6">
        <f t="shared" si="6"/>
        <v>8415</v>
      </c>
      <c r="M27" s="6"/>
      <c r="N27" s="6"/>
      <c r="O27" s="7"/>
    </row>
    <row r="28" spans="2:15" x14ac:dyDescent="0.25">
      <c r="B28" s="5" t="s">
        <v>4</v>
      </c>
      <c r="C28" s="6">
        <f>$C25*0.8</f>
        <v>12.8</v>
      </c>
      <c r="D28" s="6">
        <f>100/C28</f>
        <v>7.8125</v>
      </c>
      <c r="E28" s="6">
        <v>2.5000000000000001E-2</v>
      </c>
      <c r="F28" s="6">
        <f>ROUNDUP(1/E28*D28, 0)</f>
        <v>313</v>
      </c>
      <c r="G28" s="8">
        <f t="shared" si="0"/>
        <v>0.7364705882352941</v>
      </c>
      <c r="H28" s="6">
        <f>H25*1.2</f>
        <v>21.599999999999998</v>
      </c>
      <c r="I28" s="6">
        <f>F28*H28</f>
        <v>6760.7999999999993</v>
      </c>
      <c r="J28" s="6">
        <f>1/E28*H28</f>
        <v>863.99999999999989</v>
      </c>
      <c r="K28" s="6">
        <f>2000/J28</f>
        <v>2.3148148148148153</v>
      </c>
      <c r="L28" s="6">
        <f>H28*425</f>
        <v>9180</v>
      </c>
      <c r="M28" s="6"/>
      <c r="N28" s="6"/>
      <c r="O28" s="7"/>
    </row>
    <row r="29" spans="2:15" x14ac:dyDescent="0.25">
      <c r="B29" s="5"/>
      <c r="C29" s="6"/>
      <c r="D29" s="6"/>
      <c r="E29" s="6"/>
      <c r="F29" s="6"/>
      <c r="G29" s="8"/>
      <c r="H29" s="6"/>
      <c r="I29" s="6"/>
      <c r="J29" s="6"/>
      <c r="K29" s="6"/>
      <c r="L29" s="6"/>
      <c r="M29" s="6"/>
      <c r="N29" s="6"/>
      <c r="O29" s="7"/>
    </row>
    <row r="30" spans="2:15" x14ac:dyDescent="0.25">
      <c r="B30" s="5" t="s">
        <v>8</v>
      </c>
      <c r="C30" s="6">
        <v>2.5</v>
      </c>
      <c r="D30" s="6">
        <f>45*E30+F30</f>
        <v>0.67500000000000004</v>
      </c>
      <c r="E30" s="6">
        <v>0.01</v>
      </c>
      <c r="F30" s="6">
        <v>0.22500000000000001</v>
      </c>
      <c r="G30" s="8"/>
      <c r="H30" s="6">
        <v>0.7</v>
      </c>
      <c r="I30" s="6"/>
      <c r="J30" s="6"/>
      <c r="K30" s="6"/>
      <c r="L30" s="6"/>
      <c r="M30" s="6"/>
      <c r="N30" s="6"/>
      <c r="O30" s="7"/>
    </row>
    <row r="31" spans="2:15" x14ac:dyDescent="0.25">
      <c r="B31" s="5" t="s">
        <v>0</v>
      </c>
      <c r="C31" s="6" t="s">
        <v>5</v>
      </c>
      <c r="D31" s="6" t="s">
        <v>10</v>
      </c>
      <c r="E31" s="6" t="s">
        <v>6</v>
      </c>
      <c r="F31" s="6" t="s">
        <v>11</v>
      </c>
      <c r="G31" s="6" t="s">
        <v>16</v>
      </c>
      <c r="H31" s="6" t="s">
        <v>12</v>
      </c>
      <c r="I31" s="6" t="s">
        <v>13</v>
      </c>
      <c r="J31" s="6" t="s">
        <v>17</v>
      </c>
      <c r="K31" s="6" t="s">
        <v>19</v>
      </c>
      <c r="L31" s="6" t="s">
        <v>21</v>
      </c>
      <c r="M31" s="6" t="s">
        <v>20</v>
      </c>
      <c r="N31" s="14" t="s">
        <v>22</v>
      </c>
      <c r="O31" s="7" t="s">
        <v>18</v>
      </c>
    </row>
    <row r="32" spans="2:15" x14ac:dyDescent="0.25">
      <c r="B32" s="15" t="s">
        <v>1</v>
      </c>
      <c r="C32" s="16">
        <f>C25*$C$30</f>
        <v>40</v>
      </c>
      <c r="D32" s="16">
        <f>(100/C32)/D$30</f>
        <v>3.7037037037037033</v>
      </c>
      <c r="E32" s="16">
        <v>1.4999999999999999E-2</v>
      </c>
      <c r="F32" s="16">
        <f>ROUNDUP(1/E32*D32, 0)</f>
        <v>247</v>
      </c>
      <c r="G32" s="17">
        <f t="shared" si="0"/>
        <v>0.58117647058823529</v>
      </c>
      <c r="H32" s="16">
        <f>H25*H$30</f>
        <v>12.6</v>
      </c>
      <c r="I32" s="16">
        <f>F32*H32</f>
        <v>3112.2</v>
      </c>
      <c r="J32" s="16">
        <f>1/E32*H32</f>
        <v>840</v>
      </c>
      <c r="K32" s="16">
        <f>2000/J32</f>
        <v>2.3809523809523809</v>
      </c>
      <c r="L32" s="16">
        <f>H32*425</f>
        <v>5355</v>
      </c>
      <c r="M32" s="16">
        <f>2000/J25</f>
        <v>2.7777777777777777</v>
      </c>
      <c r="N32" s="16">
        <f>45*H32</f>
        <v>567</v>
      </c>
      <c r="O32" s="18">
        <f>ROUNDUP(D32*1/E25, 0)*H25</f>
        <v>2682</v>
      </c>
    </row>
    <row r="33" spans="2:15" x14ac:dyDescent="0.25">
      <c r="B33" s="5" t="s">
        <v>2</v>
      </c>
      <c r="C33" s="6">
        <f>C26*$C$30</f>
        <v>38</v>
      </c>
      <c r="D33" s="6">
        <f>(100/C33)/D$30</f>
        <v>3.8986354775828462</v>
      </c>
      <c r="E33" s="6">
        <f>E32</f>
        <v>1.4999999999999999E-2</v>
      </c>
      <c r="F33" s="6">
        <f>ROUNDUP(1/E33*D33, 0)</f>
        <v>260</v>
      </c>
      <c r="G33" s="8">
        <f t="shared" si="0"/>
        <v>0.61176470588235299</v>
      </c>
      <c r="H33" s="6">
        <f>H26*H$30</f>
        <v>13.23</v>
      </c>
      <c r="I33" s="6">
        <f>F33*H33</f>
        <v>3439.8</v>
      </c>
      <c r="J33" s="6">
        <f>1/E33*H33</f>
        <v>882.00000000000011</v>
      </c>
      <c r="K33" s="6">
        <f>2000/J33</f>
        <v>2.2675736961451243</v>
      </c>
      <c r="L33" s="6">
        <f t="shared" ref="L33:L34" si="7">H33*425</f>
        <v>5622.75</v>
      </c>
      <c r="M33" s="6">
        <f>2000/J26</f>
        <v>2.6455026455026451</v>
      </c>
      <c r="N33" s="6">
        <f>45*H33</f>
        <v>595.35</v>
      </c>
      <c r="O33" s="7">
        <f>ROUNDUP(D33*1/E26, 0)*H26</f>
        <v>2948.4000000000005</v>
      </c>
    </row>
    <row r="34" spans="2:15" x14ac:dyDescent="0.25">
      <c r="B34" s="5" t="s">
        <v>3</v>
      </c>
      <c r="C34" s="6">
        <f>C27*$C$30</f>
        <v>36</v>
      </c>
      <c r="D34" s="6">
        <f>(100/C34)/D$30</f>
        <v>4.1152263374485596</v>
      </c>
      <c r="E34" s="6">
        <f>E32</f>
        <v>1.4999999999999999E-2</v>
      </c>
      <c r="F34" s="6">
        <f>ROUNDUP(1/E34*D34, 0)</f>
        <v>275</v>
      </c>
      <c r="G34" s="8">
        <f t="shared" si="0"/>
        <v>0.6470588235294118</v>
      </c>
      <c r="H34" s="6">
        <f>H27*H$30</f>
        <v>13.86</v>
      </c>
      <c r="I34" s="6">
        <f>F34*H34</f>
        <v>3811.5</v>
      </c>
      <c r="J34" s="6">
        <f>1/E34*H34</f>
        <v>924</v>
      </c>
      <c r="K34" s="6">
        <f>2000/J34</f>
        <v>2.1645021645021645</v>
      </c>
      <c r="L34" s="6">
        <f t="shared" si="7"/>
        <v>5890.5</v>
      </c>
      <c r="M34" s="6">
        <f>2000/J27</f>
        <v>2.5252525252525251</v>
      </c>
      <c r="N34" s="6">
        <f>45*H34</f>
        <v>623.69999999999993</v>
      </c>
      <c r="O34" s="7">
        <f>ROUNDUP(D34*1/E27, 0)*H27</f>
        <v>3267</v>
      </c>
    </row>
    <row r="35" spans="2:15" x14ac:dyDescent="0.25">
      <c r="B35" s="5"/>
      <c r="C35" s="6"/>
      <c r="D35" s="6"/>
      <c r="E35" s="6"/>
      <c r="F35" s="6"/>
      <c r="G35" s="8"/>
      <c r="H35" s="6"/>
      <c r="I35" s="6"/>
      <c r="J35" s="6"/>
      <c r="K35" s="6">
        <f>2000/J34</f>
        <v>2.1645021645021645</v>
      </c>
      <c r="L35" s="6"/>
      <c r="M35" s="6">
        <f>2000/J28</f>
        <v>2.3148148148148153</v>
      </c>
      <c r="N35" s="6"/>
      <c r="O35" s="7">
        <f>ROUNDUP(D34*1/E28, 0)*H28</f>
        <v>3563.9999999999995</v>
      </c>
    </row>
    <row r="36" spans="2:15" x14ac:dyDescent="0.25">
      <c r="B36" s="5" t="s">
        <v>9</v>
      </c>
      <c r="C36" s="6"/>
      <c r="D36" s="6"/>
      <c r="E36" s="6"/>
      <c r="F36" s="6"/>
      <c r="G36" s="8"/>
      <c r="H36" s="6"/>
      <c r="I36" s="6"/>
      <c r="J36" s="6"/>
      <c r="K36" s="6"/>
      <c r="L36" s="6"/>
      <c r="M36" s="6"/>
      <c r="N36" s="6"/>
      <c r="O36" s="7"/>
    </row>
    <row r="37" spans="2:15" x14ac:dyDescent="0.25">
      <c r="B37" s="5" t="s">
        <v>0</v>
      </c>
      <c r="C37" s="6" t="s">
        <v>5</v>
      </c>
      <c r="D37" s="6" t="s">
        <v>10</v>
      </c>
      <c r="E37" s="6" t="s">
        <v>6</v>
      </c>
      <c r="F37" s="6" t="s">
        <v>11</v>
      </c>
      <c r="G37" s="6" t="s">
        <v>16</v>
      </c>
      <c r="H37" s="6" t="s">
        <v>12</v>
      </c>
      <c r="I37" s="6" t="s">
        <v>13</v>
      </c>
      <c r="J37" s="6" t="s">
        <v>17</v>
      </c>
      <c r="K37" s="6" t="s">
        <v>19</v>
      </c>
      <c r="L37" s="6" t="s">
        <v>21</v>
      </c>
      <c r="M37" s="6" t="s">
        <v>20</v>
      </c>
      <c r="N37" s="6"/>
      <c r="O37" s="7"/>
    </row>
    <row r="38" spans="2:15" x14ac:dyDescent="0.25">
      <c r="B38" s="5" t="s">
        <v>1</v>
      </c>
      <c r="C38" s="6">
        <f>$C25</f>
        <v>16</v>
      </c>
      <c r="D38" s="6">
        <f>100/C38</f>
        <v>6.25</v>
      </c>
      <c r="E38" s="6">
        <v>2.5000000000000001E-2</v>
      </c>
      <c r="F38" s="6">
        <f>ROUNDUP(1/E38*D38, 0)</f>
        <v>250</v>
      </c>
      <c r="G38" s="8">
        <f t="shared" si="0"/>
        <v>0.58823529411764708</v>
      </c>
      <c r="H38" s="6">
        <f>H25*0.75</f>
        <v>13.5</v>
      </c>
      <c r="I38" s="6">
        <f>F38*H38</f>
        <v>3375</v>
      </c>
      <c r="J38" s="6">
        <f>1/E38*H38</f>
        <v>540</v>
      </c>
      <c r="K38" s="6">
        <f>2000/J38</f>
        <v>3.7037037037037037</v>
      </c>
      <c r="L38" s="6">
        <f>H38*425</f>
        <v>5737.5</v>
      </c>
      <c r="M38" s="6">
        <f>2000/J25</f>
        <v>2.7777777777777777</v>
      </c>
      <c r="N38" s="6"/>
      <c r="O38" s="7"/>
    </row>
    <row r="39" spans="2:15" x14ac:dyDescent="0.25">
      <c r="B39" s="5" t="s">
        <v>2</v>
      </c>
      <c r="C39" s="6">
        <f>$C26</f>
        <v>15.2</v>
      </c>
      <c r="D39" s="6">
        <f>100/C39</f>
        <v>6.5789473684210531</v>
      </c>
      <c r="E39" s="6">
        <v>2.5000000000000001E-2</v>
      </c>
      <c r="F39" s="6">
        <f>ROUNDUP(1/E39*D39, 0)</f>
        <v>264</v>
      </c>
      <c r="G39" s="8">
        <f t="shared" si="0"/>
        <v>0.62117647058823533</v>
      </c>
      <c r="H39" s="6">
        <f>H26*0.75</f>
        <v>14.175000000000001</v>
      </c>
      <c r="I39" s="6">
        <f>F39*H39</f>
        <v>3742.2000000000003</v>
      </c>
      <c r="J39" s="6">
        <f>1/E39*H39</f>
        <v>567</v>
      </c>
      <c r="K39" s="6">
        <f>2000/J39</f>
        <v>3.5273368606701938</v>
      </c>
      <c r="L39" s="6">
        <f t="shared" ref="L39:L40" si="8">H39*425</f>
        <v>6024.375</v>
      </c>
      <c r="M39" s="6">
        <f>2000/J26</f>
        <v>2.6455026455026451</v>
      </c>
      <c r="N39" s="6"/>
      <c r="O39" s="7"/>
    </row>
    <row r="40" spans="2:15" ht="15.75" thickBot="1" x14ac:dyDescent="0.3">
      <c r="B40" s="9" t="s">
        <v>3</v>
      </c>
      <c r="C40" s="10">
        <f>$C27</f>
        <v>14.4</v>
      </c>
      <c r="D40" s="10">
        <f>100/C40</f>
        <v>6.9444444444444446</v>
      </c>
      <c r="E40" s="10">
        <v>2.5000000000000001E-2</v>
      </c>
      <c r="F40" s="10">
        <f>ROUNDUP(1/E40*D40, 0)</f>
        <v>278</v>
      </c>
      <c r="G40" s="11">
        <f t="shared" si="0"/>
        <v>0.65411764705882358</v>
      </c>
      <c r="H40" s="10">
        <f>H27*0.8</f>
        <v>15.840000000000002</v>
      </c>
      <c r="I40" s="10">
        <f>F40*H40</f>
        <v>4403.5200000000004</v>
      </c>
      <c r="J40" s="10">
        <f>1/E40*H40</f>
        <v>633.6</v>
      </c>
      <c r="K40" s="10">
        <f>2000/J40</f>
        <v>3.1565656565656566</v>
      </c>
      <c r="L40" s="10">
        <f t="shared" si="8"/>
        <v>6732.0000000000009</v>
      </c>
      <c r="M40" s="10">
        <f>2000/J27</f>
        <v>2.5252525252525251</v>
      </c>
      <c r="N40" s="10"/>
      <c r="O40" s="1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Gruber</dc:creator>
  <cp:lastModifiedBy>Ben Gruber</cp:lastModifiedBy>
  <dcterms:created xsi:type="dcterms:W3CDTF">2014-07-14T16:05:09Z</dcterms:created>
  <dcterms:modified xsi:type="dcterms:W3CDTF">2014-07-17T12:32:16Z</dcterms:modified>
</cp:coreProperties>
</file>